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<sst xmlns="http://schemas.openxmlformats.org/spreadsheetml/2006/main" count="166" uniqueCount="119">
  <si>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</si>
  <si>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</si>
  <si>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</si>
  <si>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</si>
  <si>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</si>
  <si>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</si>
  <si>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</si>
  <si>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</si>
  <si>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</si>
  <si>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</si>
  <si>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</si>
  <si>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</si>
  <si>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</si>
  <si>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</si>
  <si>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</si>
  <si>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</si>
  <si>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</si>
  <si>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</si>
  <si>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</si>
  <si>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</si>
  <si>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</si>
  <si>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</si>
  <si>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</si>
  <si>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</si>
  <si>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</si>
  <si>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</si>
  <si>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</si>
  <si>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</si>
  <si>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</si>
  <si>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</si>
  <si>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</si>
  <si>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</si>
  <si>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</si>
  <si>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</si>
  <si>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</si>
  <si>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</si>
  <si>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</si>
  <si>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</si>
  <si>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</si>
  <si>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</si>
  <si>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</si>
  <si>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</si>
  <si>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</si>
  <si>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</si>
  <si>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</si>
  <si>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</si>
  <si>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</si>
  <si>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</si>
  <si>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</si>
  <si>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</si>
  <si>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</si>
  <si>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</si>
  <si>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</si>
  <si>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</si>
  <si>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</si>
  <si>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</si>
  <si>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</si>
  <si>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</si>
  <si>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</si>
  <si>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</si>
  <si>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</si>
  <si>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</si>
  <si>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</si>
  <si>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</si>
  <si>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</si>
  <si>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</si>
  <si>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</si>
  <si>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</si>
  <si>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</si>
  <si>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</si>
  <si>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</si>
  <si>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</si>
  <si>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</si>
  <si>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</si>
  <si>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</si>
  <si>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</si>
  <si>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</si>
  <si>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</si>
  <si>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</si>
  <si>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</si>
  <si>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</si>
  <si>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</si>
  <si>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</si>
  <si>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</si>
  <si>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</si>
  <si>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</si>
  <si>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</si>
  <si>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</si>
  <si>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</si>
  <si>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</si>
  <si>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</si>
  <si>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</si>
  <si>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</si>
  <si>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</si>
  <si>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</si>
  <si>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</si>
  <si>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</si>
  <si>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</si>
  <si>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</si>
  <si>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</si>
  <si>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</si>
  <si>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</si>
  <si>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</si>
  <si>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</si>
  <si>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</si>
  <si>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</si>
  <si>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</si>
  <si>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</si>
  <si>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</si>
  <si>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</si>
  <si>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</si>
  <si>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</si>
  <si>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</si>
  <si>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</si>
  <si>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</si>
  <si>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</si>
  <si>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</si>
  <si>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Природоохоронні заходи</t>
  </si>
  <si>
    <t>Аналіз використання коштів міського бюджету за 2015 рік станом на 22.07.2015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</si>
</sst>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24991.499999999993</c:v>
                </c:pt>
                <c:pt idx="1">
                  <c:v>21340.199999999997</c:v>
                </c:pt>
                <c:pt idx="2">
                  <c:v>988.8999999999999</c:v>
                </c:pt>
                <c:pt idx="3">
                  <c:v>2662.399999999996</c:v>
                </c:pt>
              </c:numCache>
            </c:numRef>
          </c:val>
          <c:shape val="box"/>
        </c:ser>
        <c:shape val="box"/>
        <c:axId val="45988709"/>
        <c:axId val="11245198"/>
      </c:bar3D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45198"/>
        <c:crosses val="autoZero"/>
        <c:auto val="1"/>
        <c:lblOffset val="100"/>
        <c:tickLblSkip val="1"/>
        <c:noMultiLvlLbl val="0"/>
      </c:catAx>
      <c:valAx>
        <c:axId val="11245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87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3690.0999999999754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201000.10000000006</c:v>
                </c:pt>
                <c:pt idx="1">
                  <c:v>103832.09999999999</c:v>
                </c:pt>
                <c:pt idx="2">
                  <c:v>152552.49999999997</c:v>
                </c:pt>
                <c:pt idx="3">
                  <c:v>9</c:v>
                </c:pt>
                <c:pt idx="4">
                  <c:v>10094.499999999998</c:v>
                </c:pt>
                <c:pt idx="5">
                  <c:v>36411.70000000001</c:v>
                </c:pt>
                <c:pt idx="6">
                  <c:v>184</c:v>
                </c:pt>
                <c:pt idx="7">
                  <c:v>1748.4000000000815</c:v>
                </c:pt>
              </c:numCache>
            </c:numRef>
          </c:val>
          <c:shape val="box"/>
        </c:ser>
        <c:shape val="box"/>
        <c:axId val="34097919"/>
        <c:axId val="38445816"/>
      </c:bar3D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45816"/>
        <c:crosses val="autoZero"/>
        <c:auto val="1"/>
        <c:lblOffset val="100"/>
        <c:tickLblSkip val="1"/>
        <c:noMultiLvlLbl val="0"/>
      </c:catAx>
      <c:valAx>
        <c:axId val="38445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979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117582.39999999995</c:v>
                </c:pt>
                <c:pt idx="1">
                  <c:v>106437.30000000002</c:v>
                </c:pt>
                <c:pt idx="2">
                  <c:v>92286.59999999996</c:v>
                </c:pt>
                <c:pt idx="3">
                  <c:v>3946.6999999999994</c:v>
                </c:pt>
                <c:pt idx="4">
                  <c:v>1584.3</c:v>
                </c:pt>
                <c:pt idx="5">
                  <c:v>12747</c:v>
                </c:pt>
                <c:pt idx="6">
                  <c:v>666.8</c:v>
                </c:pt>
                <c:pt idx="7">
                  <c:v>6350.999999999988</c:v>
                </c:pt>
              </c:numCache>
            </c:numRef>
          </c:val>
          <c:shape val="box"/>
        </c:ser>
        <c:shape val="box"/>
        <c:axId val="10468025"/>
        <c:axId val="27103362"/>
      </c:bar3DChart>
      <c:catAx>
        <c:axId val="1046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03362"/>
        <c:crosses val="autoZero"/>
        <c:auto val="1"/>
        <c:lblOffset val="100"/>
        <c:tickLblSkip val="1"/>
        <c:noMultiLvlLbl val="0"/>
      </c:catAx>
      <c:valAx>
        <c:axId val="27103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680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25417.399999999994</c:v>
                </c:pt>
                <c:pt idx="1">
                  <c:v>18552.2</c:v>
                </c:pt>
                <c:pt idx="2">
                  <c:v>1245.3</c:v>
                </c:pt>
                <c:pt idx="3">
                  <c:v>349.8</c:v>
                </c:pt>
                <c:pt idx="4">
                  <c:v>17</c:v>
                </c:pt>
                <c:pt idx="5">
                  <c:v>5253.099999999993</c:v>
                </c:pt>
              </c:numCache>
            </c:numRef>
          </c:val>
          <c:shape val="box"/>
        </c:ser>
        <c:shape val="box"/>
        <c:axId val="42603667"/>
        <c:axId val="47888684"/>
      </c:bar3D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88684"/>
        <c:crosses val="autoZero"/>
        <c:auto val="1"/>
        <c:lblOffset val="100"/>
        <c:tickLblSkip val="1"/>
        <c:noMultiLvlLbl val="0"/>
      </c:catAx>
      <c:valAx>
        <c:axId val="47888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36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7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7552.000000000001</c:v>
                </c:pt>
                <c:pt idx="1">
                  <c:v>4839.4</c:v>
                </c:pt>
                <c:pt idx="3">
                  <c:v>113.10000000000001</c:v>
                </c:pt>
                <c:pt idx="4">
                  <c:v>400.10000000000014</c:v>
                </c:pt>
                <c:pt idx="5">
                  <c:v>2199.400000000001</c:v>
                </c:pt>
              </c:numCache>
            </c:numRef>
          </c:val>
          <c:shape val="box"/>
        </c:ser>
        <c:shape val="box"/>
        <c:axId val="28344973"/>
        <c:axId val="53778166"/>
      </c:bar3D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78166"/>
        <c:crosses val="autoZero"/>
        <c:auto val="1"/>
        <c:lblOffset val="100"/>
        <c:tickLblSkip val="2"/>
        <c:noMultiLvlLbl val="0"/>
      </c:catAx>
      <c:valAx>
        <c:axId val="53778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49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1534.9999999999998</c:v>
                </c:pt>
                <c:pt idx="1">
                  <c:v>751.9999999999999</c:v>
                </c:pt>
                <c:pt idx="2">
                  <c:v>107</c:v>
                </c:pt>
                <c:pt idx="3">
                  <c:v>239.30000000000004</c:v>
                </c:pt>
                <c:pt idx="4">
                  <c:v>367.2</c:v>
                </c:pt>
                <c:pt idx="5">
                  <c:v>69.49999999999983</c:v>
                </c:pt>
              </c:numCache>
            </c:numRef>
          </c:val>
          <c:shape val="box"/>
        </c:ser>
        <c:shape val="box"/>
        <c:axId val="14241447"/>
        <c:axId val="61064160"/>
      </c:bar3DChart>
      <c:catAx>
        <c:axId val="14241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64160"/>
        <c:crosses val="autoZero"/>
        <c:auto val="1"/>
        <c:lblOffset val="100"/>
        <c:tickLblSkip val="1"/>
        <c:noMultiLvlLbl val="0"/>
      </c:catAx>
      <c:valAx>
        <c:axId val="61064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14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29557.500000000007</c:v>
                </c:pt>
              </c:numCache>
            </c:numRef>
          </c:val>
          <c:shape val="box"/>
        </c:ser>
        <c:shape val="box"/>
        <c:axId val="12706529"/>
        <c:axId val="47249898"/>
      </c:bar3DChart>
      <c:catAx>
        <c:axId val="1270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249898"/>
        <c:crosses val="autoZero"/>
        <c:auto val="1"/>
        <c:lblOffset val="100"/>
        <c:tickLblSkip val="1"/>
        <c:noMultiLvlLbl val="0"/>
      </c:catAx>
      <c:valAx>
        <c:axId val="47249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065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201000.10000000006</c:v>
                </c:pt>
                <c:pt idx="1">
                  <c:v>117582.39999999995</c:v>
                </c:pt>
                <c:pt idx="2">
                  <c:v>25417.399999999994</c:v>
                </c:pt>
                <c:pt idx="3">
                  <c:v>7552.000000000001</c:v>
                </c:pt>
                <c:pt idx="4">
                  <c:v>1534.9999999999998</c:v>
                </c:pt>
                <c:pt idx="5">
                  <c:v>24991.499999999993</c:v>
                </c:pt>
                <c:pt idx="6">
                  <c:v>29557.500000000007</c:v>
                </c:pt>
              </c:numCache>
            </c:numRef>
          </c:val>
          <c:shape val="box"/>
        </c:ser>
        <c:shape val="box"/>
        <c:axId val="22595899"/>
        <c:axId val="2036500"/>
      </c:bar3D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6500"/>
        <c:crosses val="autoZero"/>
        <c:auto val="1"/>
        <c:lblOffset val="100"/>
        <c:tickLblSkip val="1"/>
        <c:noMultiLvlLbl val="0"/>
      </c:catAx>
      <c:valAx>
        <c:axId val="2036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58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236306.1000000001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293954.3</c:v>
                </c:pt>
                <c:pt idx="1">
                  <c:v>55042.400000000016</c:v>
                </c:pt>
                <c:pt idx="2">
                  <c:v>11930.599999999999</c:v>
                </c:pt>
                <c:pt idx="3">
                  <c:v>4049</c:v>
                </c:pt>
                <c:pt idx="4">
                  <c:v>3956.399999999999</c:v>
                </c:pt>
                <c:pt idx="5">
                  <c:v>117413.10000000003</c:v>
                </c:pt>
              </c:numCache>
            </c:numRef>
          </c:val>
          <c:shape val="box"/>
        </c:ser>
        <c:shape val="box"/>
        <c:axId val="18328501"/>
        <c:axId val="30738782"/>
      </c:bar3DChart>
      <c:catAx>
        <c:axId val="1832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38782"/>
        <c:crosses val="autoZero"/>
        <c:auto val="1"/>
        <c:lblOffset val="100"/>
        <c:tickLblSkip val="1"/>
        <c:noMultiLvlLbl val="0"/>
      </c:catAx>
      <c:valAx>
        <c:axId val="30738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28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114</v>
      </c>
      <c r="C3" s="138" t="s">
        <v>104</v>
      </c>
      <c r="D3" s="138" t="s">
        <v>29</v>
      </c>
      <c r="E3" s="138" t="s">
        <v>28</v>
      </c>
      <c r="F3" s="138" t="s">
        <v>115</v>
      </c>
      <c r="G3" s="138" t="s">
        <v>105</v>
      </c>
      <c r="H3" s="138" t="s">
        <v>116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217874.6</v>
      </c>
      <c r="C6" s="53">
        <f>336144.8+1363.8+2002.1+0.9</f>
        <v>339511.6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</f>
        <v>201120.30000000005</v>
      </c>
      <c r="E6" s="3">
        <f>D6/D144*100</f>
        <v>41.241758120074216</v>
      </c>
      <c r="F6" s="3">
        <f>D6/B6*100</f>
        <v>92.31011783842634</v>
      </c>
      <c r="G6" s="3">
        <f aca="true" t="shared" si="0" ref="G6:G43">D6/C6*100</f>
        <v>59.23812323349189</v>
      </c>
      <c r="H6" s="3">
        <f>B6-D6</f>
        <v>16754.29999999996</v>
      </c>
      <c r="I6" s="3">
        <f aca="true" t="shared" si="1" ref="I6:I43">C6-D6</f>
        <v>138391.29999999993</v>
      </c>
    </row>
    <row r="7" spans="1:9" s="44" customFormat="1" ht="18.75">
      <c r="A7" s="118" t="s">
        <v>107</v>
      </c>
      <c r="B7" s="109">
        <v>112520.5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</f>
        <v>103928.9</v>
      </c>
      <c r="E7" s="107">
        <f>D7/D6*100</f>
        <v>51.67499252934685</v>
      </c>
      <c r="F7" s="107">
        <f>D7/B7*100</f>
        <v>92.36441359574476</v>
      </c>
      <c r="G7" s="107">
        <f>D7/C7*100</f>
        <v>59.75109292821974</v>
      </c>
      <c r="H7" s="107">
        <f>B7-D7</f>
        <v>8591.600000000006</v>
      </c>
      <c r="I7" s="107">
        <f t="shared" si="1"/>
        <v>70007.5</v>
      </c>
    </row>
    <row r="8" spans="1:9" ht="18">
      <c r="A8" s="29" t="s">
        <v>3</v>
      </c>
      <c r="B8" s="49">
        <f>159121.9+43.7</f>
        <v>159165.6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</f>
        <v>152575.89999999997</v>
      </c>
      <c r="E8" s="1">
        <f>D8/D6*100</f>
        <v>75.86300338653031</v>
      </c>
      <c r="F8" s="1">
        <f>D8/B8*100</f>
        <v>95.85984660001907</v>
      </c>
      <c r="G8" s="1">
        <f t="shared" si="0"/>
        <v>60.55447449583213</v>
      </c>
      <c r="H8" s="1">
        <f>B8-D8</f>
        <v>6589.700000000041</v>
      </c>
      <c r="I8" s="1">
        <f t="shared" si="1"/>
        <v>99388.80000000005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0.0044749336591085025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12083.7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</f>
        <v>10101.899999999998</v>
      </c>
      <c r="E10" s="1">
        <f>D10/D6*100</f>
        <v>5.022814703438686</v>
      </c>
      <c r="F10" s="1">
        <f aca="true" t="shared" si="3" ref="F10:F41">D10/B10*100</f>
        <v>83.59939422527866</v>
      </c>
      <c r="G10" s="1">
        <f t="shared" si="0"/>
        <v>45.69010746463074</v>
      </c>
      <c r="H10" s="1">
        <f t="shared" si="2"/>
        <v>1981.800000000003</v>
      </c>
      <c r="I10" s="1">
        <f t="shared" si="1"/>
        <v>12007.7</v>
      </c>
    </row>
    <row r="11" spans="1:9" ht="18">
      <c r="A11" s="29" t="s">
        <v>0</v>
      </c>
      <c r="B11" s="49">
        <f>43504.8-43.7</f>
        <v>43461.100000000006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</f>
        <v>36434.70000000001</v>
      </c>
      <c r="E11" s="1">
        <f>D11/D6*100</f>
        <v>18.11587393216896</v>
      </c>
      <c r="F11" s="1">
        <f t="shared" si="3"/>
        <v>83.83289884517421</v>
      </c>
      <c r="G11" s="1">
        <f t="shared" si="0"/>
        <v>59.33420078526659</v>
      </c>
      <c r="H11" s="1">
        <f t="shared" si="2"/>
        <v>7026.399999999994</v>
      </c>
      <c r="I11" s="1">
        <f t="shared" si="1"/>
        <v>24971.199999999983</v>
      </c>
    </row>
    <row r="12" spans="1:9" ht="18">
      <c r="A12" s="29" t="s">
        <v>15</v>
      </c>
      <c r="B12" s="49">
        <v>246.2</v>
      </c>
      <c r="C12" s="50">
        <f>286.2+9.9</f>
        <v>296.09999999999997</v>
      </c>
      <c r="D12" s="51">
        <f>3.8+3.8+12.7+7.4+5+16.3+3.8+110.9+3.8+1.2+5.4+9.9</f>
        <v>184</v>
      </c>
      <c r="E12" s="1">
        <f>D12/D6*100</f>
        <v>0.09148753258621828</v>
      </c>
      <c r="F12" s="1">
        <f t="shared" si="3"/>
        <v>74.73598700243704</v>
      </c>
      <c r="G12" s="1">
        <f t="shared" si="0"/>
        <v>62.14116852414725</v>
      </c>
      <c r="H12" s="1">
        <f t="shared" si="2"/>
        <v>62.19999999999999</v>
      </c>
      <c r="I12" s="1">
        <f t="shared" si="1"/>
        <v>112.09999999999997</v>
      </c>
    </row>
    <row r="13" spans="1:9" ht="18.75" thickBot="1">
      <c r="A13" s="29" t="s">
        <v>35</v>
      </c>
      <c r="B13" s="50">
        <f>B6-B8-B9-B10-B11-B12</f>
        <v>2892.8</v>
      </c>
      <c r="C13" s="50">
        <f>C6-C8-C9-C10-C11-C12</f>
        <v>3690.0999999999754</v>
      </c>
      <c r="D13" s="50">
        <f>D6-D8-D9-D10-D11-D12</f>
        <v>1814.8000000000757</v>
      </c>
      <c r="E13" s="1">
        <f>D13/D6*100</f>
        <v>0.9023455116167166</v>
      </c>
      <c r="F13" s="1">
        <f t="shared" si="3"/>
        <v>62.73506637168402</v>
      </c>
      <c r="G13" s="1">
        <f t="shared" si="0"/>
        <v>49.18023901791517</v>
      </c>
      <c r="H13" s="1">
        <f t="shared" si="2"/>
        <v>1077.9999999999245</v>
      </c>
      <c r="I13" s="1">
        <f t="shared" si="1"/>
        <v>1875.2999999998997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129823.9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</f>
        <v>117652.69999999995</v>
      </c>
      <c r="E18" s="3">
        <f>D18/D144*100</f>
        <v>24.12587986182227</v>
      </c>
      <c r="F18" s="3">
        <f>D18/B18*100</f>
        <v>90.6248387238405</v>
      </c>
      <c r="G18" s="3">
        <f t="shared" si="0"/>
        <v>51.90099291180604</v>
      </c>
      <c r="H18" s="3">
        <f>B18-D18</f>
        <v>12171.20000000004</v>
      </c>
      <c r="I18" s="3">
        <f t="shared" si="1"/>
        <v>109034.10000000006</v>
      </c>
    </row>
    <row r="19" spans="1:9" s="44" customFormat="1" ht="18.75">
      <c r="A19" s="118" t="s">
        <v>108</v>
      </c>
      <c r="B19" s="109">
        <v>115998.8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</f>
        <v>106437.30000000002</v>
      </c>
      <c r="E19" s="107">
        <f>D19/D18*100</f>
        <v>90.4673670897481</v>
      </c>
      <c r="F19" s="107">
        <f t="shared" si="3"/>
        <v>91.75724231629984</v>
      </c>
      <c r="G19" s="107">
        <f t="shared" si="0"/>
        <v>57.06506354305616</v>
      </c>
      <c r="H19" s="107">
        <f t="shared" si="2"/>
        <v>9561.499999999985</v>
      </c>
      <c r="I19" s="107">
        <f t="shared" si="1"/>
        <v>80081.9</v>
      </c>
    </row>
    <row r="20" spans="1:9" ht="18">
      <c r="A20" s="29" t="s">
        <v>5</v>
      </c>
      <c r="B20" s="49">
        <v>98993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5164.3+574.5+4352.6-225.6+2461.2+632.3+5026.9+4104.6-0.1+3875.3+3989.4+855.4+280+4996.6+192.6+3533.4+437.2+168.1+4832.7+3683.6+898.2+0.2+194.2+4252.2+32.7+5166.1+5891.5+37.7+4672.2+35.4+5475.1+7818.4+36.9+3282.7+5558.1</f>
        <v>92286.59999999996</v>
      </c>
      <c r="E20" s="1">
        <f>D20/D18*100</f>
        <v>78.4398488092496</v>
      </c>
      <c r="F20" s="1">
        <f t="shared" si="3"/>
        <v>93.22537957229295</v>
      </c>
      <c r="G20" s="1">
        <f t="shared" si="0"/>
        <v>54.544229499650974</v>
      </c>
      <c r="H20" s="1">
        <f t="shared" si="2"/>
        <v>6706.400000000038</v>
      </c>
      <c r="I20" s="1">
        <f t="shared" si="1"/>
        <v>76909.30000000003</v>
      </c>
    </row>
    <row r="21" spans="1:9" ht="18">
      <c r="A21" s="29" t="s">
        <v>2</v>
      </c>
      <c r="B21" s="49">
        <f>6770+22</f>
        <v>6792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11+1.8+42.7+3+47.6+40.1+0.7+2.5+101.4-0.1+82.5+53+0.2+1536.8+83.2+0.7+12.8+1.8+77.1+0.2+37.6+299.6+50.4+17.9+245.6+224.3+1.2+312.9+1.2+314.9+3.5+3.6+128.9+182.5+0.1+23.5+30.3</f>
        <v>3976.9999999999995</v>
      </c>
      <c r="E21" s="1">
        <f>D21/D18*100</f>
        <v>3.3802879151944674</v>
      </c>
      <c r="F21" s="1">
        <f t="shared" si="3"/>
        <v>58.55418138987043</v>
      </c>
      <c r="G21" s="1">
        <f t="shared" si="0"/>
        <v>31.336180405629005</v>
      </c>
      <c r="H21" s="1">
        <f t="shared" si="2"/>
        <v>2815.0000000000005</v>
      </c>
      <c r="I21" s="1">
        <f t="shared" si="1"/>
        <v>8714.4</v>
      </c>
    </row>
    <row r="22" spans="1:9" ht="18">
      <c r="A22" s="29" t="s">
        <v>1</v>
      </c>
      <c r="B22" s="49">
        <v>1872.6</v>
      </c>
      <c r="C22" s="50">
        <v>3253.3</v>
      </c>
      <c r="D22" s="51">
        <f>173.9+19+7.6+19.5+89.8+0.1+92.4+48.6+202.1+56.1+96.9+242.1+36.1+19.2+171.7+0.1+22.2+39+81.6+82+84.2+0.1+30.3-30.3</f>
        <v>1584.3</v>
      </c>
      <c r="E22" s="1">
        <f>D22/D18*100</f>
        <v>1.3465904309888346</v>
      </c>
      <c r="F22" s="1">
        <f t="shared" si="3"/>
        <v>84.60429349567447</v>
      </c>
      <c r="G22" s="1">
        <f t="shared" si="0"/>
        <v>48.69824485906618</v>
      </c>
      <c r="H22" s="1">
        <f t="shared" si="2"/>
        <v>288.29999999999995</v>
      </c>
      <c r="I22" s="1">
        <f t="shared" si="1"/>
        <v>1669.0000000000002</v>
      </c>
    </row>
    <row r="23" spans="1:9" ht="18">
      <c r="A23" s="29" t="s">
        <v>0</v>
      </c>
      <c r="B23" s="49">
        <f>13596.3-22</f>
        <v>13574.3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96.9+173.9+611.9+463.4+109.9+698.9+114.7+0.2+702.4+1027.2+819.6+1945.5+240.6+329.9+0.1+104.4+1287.1+2.2+0.5+9+338.9+138.1+1558.4-0.2+1154.7+105.4+0.9+293.6+119+115+9.1+124.5+51.3</f>
        <v>12747</v>
      </c>
      <c r="E23" s="1">
        <f>D23/D18*100</f>
        <v>10.834430489058054</v>
      </c>
      <c r="F23" s="1">
        <f t="shared" si="3"/>
        <v>93.90539475332062</v>
      </c>
      <c r="G23" s="1">
        <f t="shared" si="0"/>
        <v>50.594978209270394</v>
      </c>
      <c r="H23" s="1">
        <f t="shared" si="2"/>
        <v>827.2999999999993</v>
      </c>
      <c r="I23" s="1">
        <f t="shared" si="1"/>
        <v>12447.2</v>
      </c>
    </row>
    <row r="24" spans="1:9" ht="18">
      <c r="A24" s="29" t="s">
        <v>15</v>
      </c>
      <c r="B24" s="49">
        <v>831.9</v>
      </c>
      <c r="C24" s="50">
        <v>1528.1</v>
      </c>
      <c r="D24" s="51">
        <f>111+58.1+166.1+55.7+24.9+10.1-0.1+89.8+44.2+0.1+106.9</f>
        <v>666.8</v>
      </c>
      <c r="E24" s="1">
        <f>D24/D18*100</f>
        <v>0.5667528242020797</v>
      </c>
      <c r="F24" s="1">
        <f t="shared" si="3"/>
        <v>80.15386464719317</v>
      </c>
      <c r="G24" s="1">
        <f t="shared" si="0"/>
        <v>43.63588770368431</v>
      </c>
      <c r="H24" s="1">
        <f t="shared" si="2"/>
        <v>165.10000000000002</v>
      </c>
      <c r="I24" s="1">
        <f t="shared" si="1"/>
        <v>861.3</v>
      </c>
    </row>
    <row r="25" spans="1:9" ht="18.75" thickBot="1">
      <c r="A25" s="29" t="s">
        <v>35</v>
      </c>
      <c r="B25" s="50">
        <f>B18-B20-B21-B22-B23-B24</f>
        <v>7760.099999999997</v>
      </c>
      <c r="C25" s="50">
        <f>C18-C20-C21-C22-C23-C24</f>
        <v>14823.900000000018</v>
      </c>
      <c r="D25" s="50">
        <f>D18-D20-D21-D22-D23-D24</f>
        <v>6390.999999999992</v>
      </c>
      <c r="E25" s="1">
        <f>D25/D18*100</f>
        <v>5.432089531306969</v>
      </c>
      <c r="F25" s="1">
        <f t="shared" si="3"/>
        <v>82.35718611873551</v>
      </c>
      <c r="G25" s="1">
        <f t="shared" si="0"/>
        <v>43.11281106861207</v>
      </c>
      <c r="H25" s="1">
        <f t="shared" si="2"/>
        <v>1369.100000000005</v>
      </c>
      <c r="I25" s="1">
        <f t="shared" si="1"/>
        <v>8432.900000000027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27185.8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</f>
        <v>25529.1</v>
      </c>
      <c r="E33" s="3">
        <f>D33/D144*100</f>
        <v>5.235000978136899</v>
      </c>
      <c r="F33" s="3">
        <f>D33/B33*100</f>
        <v>93.90600975509274</v>
      </c>
      <c r="G33" s="3">
        <f t="shared" si="0"/>
        <v>60.422046185561165</v>
      </c>
      <c r="H33" s="3">
        <f t="shared" si="2"/>
        <v>1656.7000000000007</v>
      </c>
      <c r="I33" s="3">
        <f t="shared" si="1"/>
        <v>16722.199999999997</v>
      </c>
    </row>
    <row r="34" spans="1:9" ht="18">
      <c r="A34" s="29" t="s">
        <v>3</v>
      </c>
      <c r="B34" s="49">
        <f>19374.1+17.8</f>
        <v>19391.899999999998</v>
      </c>
      <c r="C34" s="50">
        <v>29626.4</v>
      </c>
      <c r="D34" s="51">
        <f>1216.2+1064.6-0.1+1185.2+1240.8+0.1+1202.8+1206.8+1191.1+1224.7+5.8+1196.2+1414.6+52.8+4003.5+27.3+1811.7+0.1+103.5+404.5+5.7</f>
        <v>18557.9</v>
      </c>
      <c r="E34" s="1">
        <f>D34/D33*100</f>
        <v>72.69312275011654</v>
      </c>
      <c r="F34" s="1">
        <f t="shared" si="3"/>
        <v>95.69923524770654</v>
      </c>
      <c r="G34" s="1">
        <f t="shared" si="0"/>
        <v>62.63974023168526</v>
      </c>
      <c r="H34" s="1">
        <f t="shared" si="2"/>
        <v>833.9999999999964</v>
      </c>
      <c r="I34" s="1">
        <f t="shared" si="1"/>
        <v>11068.5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1632.6-17.8</f>
        <v>1614.8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</f>
        <v>1250.2</v>
      </c>
      <c r="E36" s="1">
        <f>D36/D33*100</f>
        <v>4.897156578179412</v>
      </c>
      <c r="F36" s="1">
        <f t="shared" si="3"/>
        <v>77.42135248947238</v>
      </c>
      <c r="G36" s="1">
        <f t="shared" si="0"/>
        <v>46.75392670157068</v>
      </c>
      <c r="H36" s="1">
        <f t="shared" si="2"/>
        <v>364.5999999999999</v>
      </c>
      <c r="I36" s="1">
        <f t="shared" si="1"/>
        <v>1423.8</v>
      </c>
    </row>
    <row r="37" spans="1:9" s="44" customFormat="1" ht="18.75">
      <c r="A37" s="23" t="s">
        <v>7</v>
      </c>
      <c r="B37" s="58">
        <v>392.9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1.3702010646673797</v>
      </c>
      <c r="F37" s="19">
        <f t="shared" si="3"/>
        <v>89.03028760498856</v>
      </c>
      <c r="G37" s="19">
        <f t="shared" si="0"/>
        <v>67.85645004849661</v>
      </c>
      <c r="H37" s="19">
        <f t="shared" si="2"/>
        <v>43.099999999999966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0.06659067495524715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5749.200000000002</v>
      </c>
      <c r="C39" s="49">
        <f>C33-C34-C36-C37-C35-C38</f>
        <v>9388.199999999993</v>
      </c>
      <c r="D39" s="49">
        <f>D33-D34-D36-D37-D35-D38</f>
        <v>5354.199999999997</v>
      </c>
      <c r="E39" s="1">
        <f>D39/D33*100</f>
        <v>20.97292893208142</v>
      </c>
      <c r="F39" s="1">
        <f t="shared" si="3"/>
        <v>93.12947888401857</v>
      </c>
      <c r="G39" s="1">
        <f t="shared" si="0"/>
        <v>57.03116678383504</v>
      </c>
      <c r="H39" s="1">
        <f>B39-D39</f>
        <v>395.00000000000455</v>
      </c>
      <c r="I39" s="1">
        <f t="shared" si="1"/>
        <v>4033.9999999999964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495</v>
      </c>
      <c r="C43" s="53">
        <f>768.4+32.5+15+3</f>
        <v>818.9</v>
      </c>
      <c r="D43" s="54">
        <f>17.7+12.2+11.2+51.1+0.8+30+0.1+18.9+27.3+43.7+9+5.4+5.6+7.8+24.4+6.4-0.1+26.1+70.2+6+6+27.3+26.1+5.1+3+1</f>
        <v>442.3</v>
      </c>
      <c r="E43" s="3">
        <f>D43/D144*100</f>
        <v>0.09069810266049137</v>
      </c>
      <c r="F43" s="3">
        <f>D43/B43*100</f>
        <v>89.35353535353535</v>
      </c>
      <c r="G43" s="3">
        <f t="shared" si="0"/>
        <v>54.01147881304189</v>
      </c>
      <c r="H43" s="3">
        <f t="shared" si="2"/>
        <v>52.69999999999999</v>
      </c>
      <c r="I43" s="3">
        <f t="shared" si="1"/>
        <v>376.59999999999997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3930.5-2.4</f>
        <v>3928.1</v>
      </c>
      <c r="C45" s="53">
        <f>6659.3+87.1+1.5</f>
        <v>6747.900000000001</v>
      </c>
      <c r="D45" s="54">
        <f>193+223+8.7+101.1+200.9+9+241+299.2+7.6+43.6+283.1+0.8+48.7+276.1+3.4+2.2+253.5+5+282+1.9+4.8+3.2+261.3+0.5+265.1+0.7+6.9+276.6+1.6+124.9+209.3+1.9</f>
        <v>3640.6</v>
      </c>
      <c r="E45" s="3">
        <f>D45/D144*100</f>
        <v>0.7465419682247002</v>
      </c>
      <c r="F45" s="3">
        <f>D45/B45*100</f>
        <v>92.68093989460553</v>
      </c>
      <c r="G45" s="3">
        <f aca="true" t="shared" si="4" ref="G45:G75">D45/C45*100</f>
        <v>53.95159975696142</v>
      </c>
      <c r="H45" s="3">
        <f>B45-D45</f>
        <v>287.5</v>
      </c>
      <c r="I45" s="3">
        <f aca="true" t="shared" si="5" ref="I45:I76">C45-D45</f>
        <v>3107.3000000000006</v>
      </c>
    </row>
    <row r="46" spans="1:9" ht="18">
      <c r="A46" s="29" t="s">
        <v>3</v>
      </c>
      <c r="B46" s="49">
        <v>3326.8</v>
      </c>
      <c r="C46" s="50">
        <v>5755.9</v>
      </c>
      <c r="D46" s="51">
        <f>193+222.7+1.6+196.4+240.9+0.1+199.7+265.9+214+253.1+238.6+255.9+243.9+273.5+83.6+206</f>
        <v>3088.9</v>
      </c>
      <c r="E46" s="1">
        <f>D46/D45*100</f>
        <v>84.84590452123277</v>
      </c>
      <c r="F46" s="1">
        <f aca="true" t="shared" si="6" ref="F46:F73">D46/B46*100</f>
        <v>92.84898400865697</v>
      </c>
      <c r="G46" s="1">
        <f t="shared" si="4"/>
        <v>53.66493511006099</v>
      </c>
      <c r="H46" s="1">
        <f aca="true" t="shared" si="7" ref="H46:H73">B46-D46</f>
        <v>237.9000000000001</v>
      </c>
      <c r="I46" s="1">
        <f t="shared" si="5"/>
        <v>2666.9999999999995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0.3+0.4</f>
        <v>0.7</v>
      </c>
      <c r="E47" s="1">
        <f>D47/D45*100</f>
        <v>0.0192275998461792</v>
      </c>
      <c r="F47" s="1">
        <f t="shared" si="6"/>
        <v>100</v>
      </c>
      <c r="G47" s="1">
        <f t="shared" si="4"/>
        <v>58.333333333333336</v>
      </c>
      <c r="H47" s="1">
        <f t="shared" si="7"/>
        <v>0</v>
      </c>
      <c r="I47" s="1">
        <f t="shared" si="5"/>
        <v>0.5</v>
      </c>
    </row>
    <row r="48" spans="1:9" ht="18">
      <c r="A48" s="29" t="s">
        <v>1</v>
      </c>
      <c r="B48" s="49">
        <v>37.6</v>
      </c>
      <c r="C48" s="50">
        <v>60.2</v>
      </c>
      <c r="D48" s="51">
        <f>3.8+1+5.7-0.1+1.3+4.1-0.1+4.6+1.1+4.8+5.5</f>
        <v>31.700000000000003</v>
      </c>
      <c r="E48" s="1">
        <f>D48/D45*100</f>
        <v>0.8707355930341153</v>
      </c>
      <c r="F48" s="1">
        <f t="shared" si="6"/>
        <v>84.30851063829788</v>
      </c>
      <c r="G48" s="1">
        <f t="shared" si="4"/>
        <v>52.657807308970106</v>
      </c>
      <c r="H48" s="1">
        <f t="shared" si="7"/>
        <v>5.899999999999999</v>
      </c>
      <c r="I48" s="1">
        <f t="shared" si="5"/>
        <v>28.5</v>
      </c>
    </row>
    <row r="49" spans="1:9" ht="18">
      <c r="A49" s="29" t="s">
        <v>0</v>
      </c>
      <c r="B49" s="49">
        <v>313.4</v>
      </c>
      <c r="C49" s="50">
        <v>538.3</v>
      </c>
      <c r="D49" s="51">
        <f>4.7+90.3+4.8+67.1+3.1+1.1+45.6+36.3+2.7+2+0.1+34.4+3.4+0.5+2.5+1.1+0.5+0.5</f>
        <v>300.69999999999993</v>
      </c>
      <c r="E49" s="1">
        <f>D49/D45*100</f>
        <v>8.259627533922979</v>
      </c>
      <c r="F49" s="1">
        <f t="shared" si="6"/>
        <v>95.94767070835991</v>
      </c>
      <c r="G49" s="1">
        <f t="shared" si="4"/>
        <v>55.86104402749395</v>
      </c>
      <c r="H49" s="1">
        <f t="shared" si="7"/>
        <v>12.700000000000045</v>
      </c>
      <c r="I49" s="1">
        <f t="shared" si="5"/>
        <v>237.60000000000002</v>
      </c>
    </row>
    <row r="50" spans="1:9" ht="18.75" thickBot="1">
      <c r="A50" s="29" t="s">
        <v>35</v>
      </c>
      <c r="B50" s="50">
        <f>B45-B46-B49-B48-B47</f>
        <v>249.59999999999977</v>
      </c>
      <c r="C50" s="50">
        <f>C45-C46-C49-C48-C47</f>
        <v>392.300000000001</v>
      </c>
      <c r="D50" s="50">
        <f>D45-D46-D49-D48-D47</f>
        <v>218.5999999999999</v>
      </c>
      <c r="E50" s="1">
        <f>D50/D45*100</f>
        <v>6.00450475196396</v>
      </c>
      <c r="F50" s="1">
        <f t="shared" si="6"/>
        <v>87.58012820512825</v>
      </c>
      <c r="G50" s="1">
        <f t="shared" si="4"/>
        <v>55.72266122865138</v>
      </c>
      <c r="H50" s="1">
        <f t="shared" si="7"/>
        <v>30.999999999999858</v>
      </c>
      <c r="I50" s="1">
        <f t="shared" si="5"/>
        <v>173.70000000000107</v>
      </c>
    </row>
    <row r="51" spans="1:9" ht="18.75" thickBot="1">
      <c r="A51" s="28" t="s">
        <v>4</v>
      </c>
      <c r="B51" s="52">
        <v>8761.7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</f>
        <v>7592.100000000001</v>
      </c>
      <c r="E51" s="3">
        <f>D51/D144*100</f>
        <v>1.5568371359003317</v>
      </c>
      <c r="F51" s="3">
        <f>D51/B51*100</f>
        <v>86.6509923873221</v>
      </c>
      <c r="G51" s="3">
        <f t="shared" si="4"/>
        <v>53.43651681834499</v>
      </c>
      <c r="H51" s="3">
        <f>B51-D51</f>
        <v>1169.5999999999995</v>
      </c>
      <c r="I51" s="3">
        <f t="shared" si="5"/>
        <v>6615.599999999999</v>
      </c>
    </row>
    <row r="52" spans="1:9" ht="18">
      <c r="A52" s="29" t="s">
        <v>3</v>
      </c>
      <c r="B52" s="49">
        <v>5297.6</v>
      </c>
      <c r="C52" s="50">
        <v>8729.1</v>
      </c>
      <c r="D52" s="51">
        <f>260.4+390.2+0.1+271.7+395.7-0.1+282.9+391.4+0.1+7.8+263.9+397.2+272.6+486-0.1+358+766.6-0.1+295.1+13.6</f>
        <v>4853</v>
      </c>
      <c r="E52" s="1">
        <f>D52/D51*100</f>
        <v>63.921708091305426</v>
      </c>
      <c r="F52" s="1">
        <f t="shared" si="6"/>
        <v>91.60752038659015</v>
      </c>
      <c r="G52" s="1">
        <f t="shared" si="4"/>
        <v>55.59565132717004</v>
      </c>
      <c r="H52" s="1">
        <f t="shared" si="7"/>
        <v>444.60000000000036</v>
      </c>
      <c r="I52" s="1">
        <f t="shared" si="5"/>
        <v>3876.1000000000004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148.9</v>
      </c>
      <c r="C54" s="50">
        <f>189.7+74</f>
        <v>263.7</v>
      </c>
      <c r="D54" s="51">
        <f>1.7+1.5+4.6+9.7+8-0.1+0.1+5.9+12.1+0.1+17.6+12.8+4+10.7+8.4+14.1+1.9+4.9</f>
        <v>118.00000000000001</v>
      </c>
      <c r="E54" s="1">
        <f>D54/D51*100</f>
        <v>1.554247177987645</v>
      </c>
      <c r="F54" s="1">
        <f t="shared" si="6"/>
        <v>79.24781732706515</v>
      </c>
      <c r="G54" s="1">
        <f t="shared" si="4"/>
        <v>44.747819491846805</v>
      </c>
      <c r="H54" s="1">
        <f t="shared" si="7"/>
        <v>30.89999999999999</v>
      </c>
      <c r="I54" s="1">
        <f t="shared" si="5"/>
        <v>145.7</v>
      </c>
    </row>
    <row r="55" spans="1:9" ht="18">
      <c r="A55" s="29" t="s">
        <v>0</v>
      </c>
      <c r="B55" s="49">
        <v>421.1</v>
      </c>
      <c r="C55" s="50">
        <f>709.9+0.6</f>
        <v>710.5</v>
      </c>
      <c r="D55" s="51">
        <f>1.1+7.6+5.9+0.3+0.2+6.8+0.3+67.1+16.4-0.1+19.5+19.3+76.2+4.5+12.1+86.4+1+0.1+7.3+44.6+0.6+0.7+4.7+3.3+0.6+3.6+2.4+6.1+0.1+1.4+1.4</f>
        <v>401.5000000000001</v>
      </c>
      <c r="E55" s="1">
        <f>D55/D51*100</f>
        <v>5.288391881034234</v>
      </c>
      <c r="F55" s="1">
        <f t="shared" si="6"/>
        <v>95.3455236285918</v>
      </c>
      <c r="G55" s="1">
        <f t="shared" si="4"/>
        <v>56.50950035186491</v>
      </c>
      <c r="H55" s="1">
        <f t="shared" si="7"/>
        <v>19.59999999999991</v>
      </c>
      <c r="I55" s="1">
        <f t="shared" si="5"/>
        <v>308.9999999999999</v>
      </c>
    </row>
    <row r="56" spans="1:9" ht="18.75" thickBot="1">
      <c r="A56" s="29" t="s">
        <v>35</v>
      </c>
      <c r="B56" s="50">
        <f>B51-B52-B55-B54-B53</f>
        <v>2894.1000000000004</v>
      </c>
      <c r="C56" s="50">
        <f>C51-C52-C55-C54-C53</f>
        <v>4493.500000000001</v>
      </c>
      <c r="D56" s="50">
        <f>D51-D52-D55-D54-D53</f>
        <v>2219.6000000000013</v>
      </c>
      <c r="E56" s="1">
        <f>D56/D51*100</f>
        <v>29.2356528496727</v>
      </c>
      <c r="F56" s="1">
        <f t="shared" si="6"/>
        <v>76.69396358107878</v>
      </c>
      <c r="G56" s="1">
        <f t="shared" si="4"/>
        <v>49.395793924557715</v>
      </c>
      <c r="H56" s="1">
        <f t="shared" si="7"/>
        <v>674.4999999999991</v>
      </c>
      <c r="I56" s="1">
        <f>C56-D56</f>
        <v>2273.8999999999996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3638.6</v>
      </c>
      <c r="C58" s="53">
        <f>3033.3+2447.7+44</f>
        <v>5525</v>
      </c>
      <c r="D58" s="54">
        <f>36.1+65.6+6.5+0.4+1.3+60.3+3+39.2+0.1+14.1+69.1+5.2-0.1+1.8+81+43+6.1+66+42.4+63.1+71.4+46.8+10.3+27.4+2.3+82.5+2.8+0.1+44.9+0.6+7.5+171.3-0.1+367.2+95.8+11.5+311.3</f>
        <v>1857.7999999999997</v>
      </c>
      <c r="E58" s="3">
        <f>D58/D144*100</f>
        <v>0.38096073959453053</v>
      </c>
      <c r="F58" s="3">
        <f>D58/B58*100</f>
        <v>51.05809926894958</v>
      </c>
      <c r="G58" s="3">
        <f t="shared" si="4"/>
        <v>33.62533936651583</v>
      </c>
      <c r="H58" s="3">
        <f>B58-D58</f>
        <v>1780.8000000000002</v>
      </c>
      <c r="I58" s="3">
        <f t="shared" si="5"/>
        <v>3667.2000000000003</v>
      </c>
    </row>
    <row r="59" spans="1:9" ht="18">
      <c r="A59" s="29" t="s">
        <v>3</v>
      </c>
      <c r="B59" s="49">
        <v>835.7</v>
      </c>
      <c r="C59" s="50">
        <v>1426.1</v>
      </c>
      <c r="D59" s="51">
        <f>36.1+65.6+39.2+69.1+1.8+43+66+41.2+71.4+46.8+1.2+82.5+0.1+44.9+89.3+53.8</f>
        <v>751.9999999999999</v>
      </c>
      <c r="E59" s="1">
        <f>D59/D58*100</f>
        <v>40.47798471310152</v>
      </c>
      <c r="F59" s="1">
        <f t="shared" si="6"/>
        <v>89.98444417853295</v>
      </c>
      <c r="G59" s="1">
        <f t="shared" si="4"/>
        <v>52.73122501928336</v>
      </c>
      <c r="H59" s="1">
        <f t="shared" si="7"/>
        <v>83.70000000000016</v>
      </c>
      <c r="I59" s="1">
        <f t="shared" si="5"/>
        <v>674.1</v>
      </c>
    </row>
    <row r="60" spans="1:9" ht="18">
      <c r="A60" s="29" t="s">
        <v>1</v>
      </c>
      <c r="B60" s="49">
        <v>201.1</v>
      </c>
      <c r="C60" s="50">
        <f>299.9</f>
        <v>299.9</v>
      </c>
      <c r="D60" s="51">
        <f>82+25+0.2</f>
        <v>107.2</v>
      </c>
      <c r="E60" s="1">
        <f>D60/D58*100</f>
        <v>5.770265905910217</v>
      </c>
      <c r="F60" s="1">
        <f>D60/B60*100</f>
        <v>53.306812531079075</v>
      </c>
      <c r="G60" s="1">
        <f t="shared" si="4"/>
        <v>35.745248416138715</v>
      </c>
      <c r="H60" s="1">
        <f t="shared" si="7"/>
        <v>93.89999999999999</v>
      </c>
      <c r="I60" s="1">
        <f t="shared" si="5"/>
        <v>192.7</v>
      </c>
    </row>
    <row r="61" spans="1:9" ht="18">
      <c r="A61" s="29" t="s">
        <v>0</v>
      </c>
      <c r="B61" s="49">
        <v>288.8</v>
      </c>
      <c r="C61" s="50">
        <f>420.8+44</f>
        <v>464.8</v>
      </c>
      <c r="D61" s="51">
        <f>1.3+56.1+4.9+63.5+3.5+0.7+63-0.1+10.3+25.7+2.8+0.3+7.3+0.2</f>
        <v>239.50000000000003</v>
      </c>
      <c r="E61" s="1">
        <f>D61/D58*100</f>
        <v>12.891592205834861</v>
      </c>
      <c r="F61" s="1">
        <f t="shared" si="6"/>
        <v>82.92936288088643</v>
      </c>
      <c r="G61" s="1">
        <f t="shared" si="4"/>
        <v>51.52753872633391</v>
      </c>
      <c r="H61" s="1">
        <f t="shared" si="7"/>
        <v>49.29999999999998</v>
      </c>
      <c r="I61" s="1">
        <f t="shared" si="5"/>
        <v>225.29999999999998</v>
      </c>
    </row>
    <row r="62" spans="1:9" ht="18">
      <c r="A62" s="29" t="s">
        <v>15</v>
      </c>
      <c r="B62" s="49">
        <v>2128.9</v>
      </c>
      <c r="C62" s="50">
        <f>728.9+2400</f>
        <v>3128.9</v>
      </c>
      <c r="D62" s="51">
        <f>367.2+308.5</f>
        <v>675.7</v>
      </c>
      <c r="E62" s="1">
        <f>D62/D58*100</f>
        <v>36.370976423727</v>
      </c>
      <c r="F62" s="1">
        <f>D62/B62*100</f>
        <v>31.739395932171544</v>
      </c>
      <c r="G62" s="1">
        <f t="shared" si="4"/>
        <v>21.595448879798013</v>
      </c>
      <c r="H62" s="1">
        <f t="shared" si="7"/>
        <v>1453.2</v>
      </c>
      <c r="I62" s="1">
        <f t="shared" si="5"/>
        <v>2453.2</v>
      </c>
    </row>
    <row r="63" spans="1:9" ht="18.75" thickBot="1">
      <c r="A63" s="29" t="s">
        <v>35</v>
      </c>
      <c r="B63" s="50">
        <f>B58-B59-B61-B62-B60</f>
        <v>184.09999999999937</v>
      </c>
      <c r="C63" s="50">
        <f>C58-C59-C61-C62-C60</f>
        <v>205.2999999999994</v>
      </c>
      <c r="D63" s="50">
        <f>D58-D59-D61-D62-D60</f>
        <v>83.39999999999968</v>
      </c>
      <c r="E63" s="1">
        <f>D63/D58*100</f>
        <v>4.489180751426402</v>
      </c>
      <c r="F63" s="1">
        <f t="shared" si="6"/>
        <v>45.30146659424224</v>
      </c>
      <c r="G63" s="1">
        <f t="shared" si="4"/>
        <v>40.62347783731121</v>
      </c>
      <c r="H63" s="1">
        <f t="shared" si="7"/>
        <v>100.69999999999969</v>
      </c>
      <c r="I63" s="1">
        <f t="shared" si="5"/>
        <v>121.89999999999971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294.70000000000005</v>
      </c>
      <c r="C68" s="53">
        <f>C69+C70</f>
        <v>416.6</v>
      </c>
      <c r="D68" s="54">
        <f>SUM(D69:D70)</f>
        <v>228.29999999999998</v>
      </c>
      <c r="E68" s="42">
        <f>D68/D144*100</f>
        <v>0.046815231375514764</v>
      </c>
      <c r="F68" s="111">
        <f>D68/B68*100</f>
        <v>77.46861214794704</v>
      </c>
      <c r="G68" s="3">
        <f t="shared" si="4"/>
        <v>54.800768122899655</v>
      </c>
      <c r="H68" s="3">
        <f>B68-D68</f>
        <v>66.40000000000006</v>
      </c>
      <c r="I68" s="3">
        <f t="shared" si="5"/>
        <v>188.30000000000004</v>
      </c>
    </row>
    <row r="69" spans="1:9" ht="18">
      <c r="A69" s="29" t="s">
        <v>8</v>
      </c>
      <c r="B69" s="49">
        <v>230.3</v>
      </c>
      <c r="C69" s="50">
        <f>250.3-5</f>
        <v>245.3</v>
      </c>
      <c r="D69" s="51">
        <f>0.2+12.6+73.3+85.8+22+1.3+2.3+2.7+1.6+2.5+7.9-0.2+3.6+5.1</f>
        <v>220.7</v>
      </c>
      <c r="E69" s="1">
        <f>D69/D68*100</f>
        <v>96.67104686815594</v>
      </c>
      <c r="F69" s="1">
        <f t="shared" si="6"/>
        <v>95.8315240990013</v>
      </c>
      <c r="G69" s="1">
        <f t="shared" si="4"/>
        <v>89.9714635140644</v>
      </c>
      <c r="H69" s="1">
        <f t="shared" si="7"/>
        <v>9.600000000000023</v>
      </c>
      <c r="I69" s="1">
        <f t="shared" si="5"/>
        <v>24.600000000000023</v>
      </c>
    </row>
    <row r="70" spans="1:9" ht="18.75" thickBot="1">
      <c r="A70" s="29" t="s">
        <v>9</v>
      </c>
      <c r="B70" s="49">
        <v>64.4</v>
      </c>
      <c r="C70" s="50">
        <f>242.8-42.9-28.6</f>
        <v>171.3</v>
      </c>
      <c r="D70" s="51">
        <f>7.4+0.2</f>
        <v>7.6000000000000005</v>
      </c>
      <c r="E70" s="1">
        <f>D70/D69*100</f>
        <v>3.4435885817852294</v>
      </c>
      <c r="F70" s="1">
        <f t="shared" si="6"/>
        <v>11.801242236024844</v>
      </c>
      <c r="G70" s="1">
        <f t="shared" si="4"/>
        <v>4.436660828955049</v>
      </c>
      <c r="H70" s="1">
        <f t="shared" si="7"/>
        <v>56.800000000000004</v>
      </c>
      <c r="I70" s="1">
        <f t="shared" si="5"/>
        <v>163.70000000000002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57.9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57.9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28943.3</v>
      </c>
      <c r="C89" s="53">
        <f>47925.9+539.6+110+168.6+27</f>
        <v>48771.1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</f>
        <v>25105.699999999997</v>
      </c>
      <c r="E89" s="3">
        <f>D89/D144*100</f>
        <v>5.148178512239426</v>
      </c>
      <c r="F89" s="3">
        <f aca="true" t="shared" si="10" ref="F89:F95">D89/B89*100</f>
        <v>86.7409728676412</v>
      </c>
      <c r="G89" s="3">
        <f t="shared" si="8"/>
        <v>51.476591670066895</v>
      </c>
      <c r="H89" s="3">
        <f aca="true" t="shared" si="11" ref="H89:H95">B89-D89</f>
        <v>3837.600000000002</v>
      </c>
      <c r="I89" s="3">
        <f t="shared" si="9"/>
        <v>23665.4</v>
      </c>
    </row>
    <row r="90" spans="1:9" ht="18">
      <c r="A90" s="29" t="s">
        <v>3</v>
      </c>
      <c r="B90" s="49">
        <v>23506.7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</f>
        <v>21397.6</v>
      </c>
      <c r="E90" s="1">
        <f>D90/D89*100</f>
        <v>85.23004735976293</v>
      </c>
      <c r="F90" s="1">
        <f t="shared" si="10"/>
        <v>91.02766445311336</v>
      </c>
      <c r="G90" s="1">
        <f t="shared" si="8"/>
        <v>53.98254200514657</v>
      </c>
      <c r="H90" s="1">
        <f t="shared" si="11"/>
        <v>2109.100000000002</v>
      </c>
      <c r="I90" s="1">
        <f t="shared" si="9"/>
        <v>18240.4</v>
      </c>
    </row>
    <row r="91" spans="1:9" ht="18">
      <c r="A91" s="29" t="s">
        <v>33</v>
      </c>
      <c r="B91" s="49">
        <v>1385.5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</f>
        <v>994.5999999999999</v>
      </c>
      <c r="E91" s="1">
        <f>D91/D89*100</f>
        <v>3.9616501431945736</v>
      </c>
      <c r="F91" s="1">
        <f t="shared" si="10"/>
        <v>71.78635871526524</v>
      </c>
      <c r="G91" s="1">
        <f t="shared" si="8"/>
        <v>38.623742767271175</v>
      </c>
      <c r="H91" s="1">
        <f t="shared" si="11"/>
        <v>390.9000000000001</v>
      </c>
      <c r="I91" s="1">
        <f t="shared" si="9"/>
        <v>1580.5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4051.0999999999985</v>
      </c>
      <c r="C93" s="50">
        <f>C89-C90-C91-C92</f>
        <v>6557.999999999998</v>
      </c>
      <c r="D93" s="50">
        <f>D89-D90-D91-D92</f>
        <v>2713.4999999999986</v>
      </c>
      <c r="E93" s="1">
        <f>D93/D89*100</f>
        <v>10.8083024970425</v>
      </c>
      <c r="F93" s="1">
        <f t="shared" si="10"/>
        <v>66.98180741033298</v>
      </c>
      <c r="G93" s="1">
        <f>D93/C93*100</f>
        <v>41.37694419030191</v>
      </c>
      <c r="H93" s="1">
        <f t="shared" si="11"/>
        <v>1337.6</v>
      </c>
      <c r="I93" s="1">
        <f>C93-D93</f>
        <v>3844.4999999999995</v>
      </c>
    </row>
    <row r="94" spans="1:9" ht="18.75">
      <c r="A94" s="122" t="s">
        <v>12</v>
      </c>
      <c r="B94" s="127">
        <v>31335.6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</f>
        <v>29724.800000000007</v>
      </c>
      <c r="E94" s="121">
        <f>D94/D144*100</f>
        <v>6.09537183351249</v>
      </c>
      <c r="F94" s="125">
        <f t="shared" si="10"/>
        <v>94.85952080062296</v>
      </c>
      <c r="G94" s="120">
        <f>D94/C94*100</f>
        <v>58.81638282253262</v>
      </c>
      <c r="H94" s="126">
        <f t="shared" si="11"/>
        <v>1610.799999999992</v>
      </c>
      <c r="I94" s="121">
        <f>C94-D94</f>
        <v>20813.499999999996</v>
      </c>
    </row>
    <row r="95" spans="1:9" ht="18.75" thickBot="1">
      <c r="A95" s="123" t="s">
        <v>110</v>
      </c>
      <c r="B95" s="130">
        <v>2819</v>
      </c>
      <c r="C95" s="131">
        <f>4853.7+35</f>
        <v>4888.7</v>
      </c>
      <c r="D95" s="132">
        <f>600+69+9+48.5+2.5+299.7+50.5+190.4+1.3+10.6+6.7+53.3-0.1+0.9+266.8+7.4+4.8+52.9+0.1+200.2+15.7+7.1+5.9+55+13+150.2+100.5+23.9</f>
        <v>2245.8</v>
      </c>
      <c r="E95" s="133">
        <f>D95/D94*100</f>
        <v>7.55530735278286</v>
      </c>
      <c r="F95" s="134">
        <f t="shared" si="10"/>
        <v>79.66654842142604</v>
      </c>
      <c r="G95" s="135">
        <f>D95/C95*100</f>
        <v>45.93859308200545</v>
      </c>
      <c r="H95" s="124">
        <f t="shared" si="11"/>
        <v>573.1999999999998</v>
      </c>
      <c r="I95" s="96">
        <f>C95-D95</f>
        <v>2642.8999999999996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5430.1</v>
      </c>
      <c r="C101" s="104">
        <f>6061.2+4589.8-16.4-3.1+0.1-234</f>
        <v>10397.6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</f>
        <v>3197.0999999999995</v>
      </c>
      <c r="E101" s="25">
        <f>D101/D144*100</f>
        <v>0.6555977933887789</v>
      </c>
      <c r="F101" s="25">
        <f>D101/B101*100</f>
        <v>58.87736874090715</v>
      </c>
      <c r="G101" s="25">
        <f aca="true" t="shared" si="12" ref="G101:G142">D101/C101*100</f>
        <v>30.748441948141874</v>
      </c>
      <c r="H101" s="25">
        <f aca="true" t="shared" si="13" ref="H101:H106">B101-D101</f>
        <v>2233.000000000001</v>
      </c>
      <c r="I101" s="25">
        <f aca="true" t="shared" si="14" ref="I101:I142">C101-D101</f>
        <v>7200.500000000001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4891</v>
      </c>
      <c r="C103" s="51">
        <f>5036.9+4586-16.4-3.1+0.1-234</f>
        <v>9369.5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</f>
        <v>2889.7</v>
      </c>
      <c r="E103" s="1">
        <f>D103/D101*100</f>
        <v>90.38503643927311</v>
      </c>
      <c r="F103" s="1">
        <f aca="true" t="shared" si="15" ref="F103:F142">D103/B103*100</f>
        <v>59.081987323655696</v>
      </c>
      <c r="G103" s="1">
        <f t="shared" si="12"/>
        <v>30.841560382090826</v>
      </c>
      <c r="H103" s="1">
        <f t="shared" si="13"/>
        <v>2001.3000000000002</v>
      </c>
      <c r="I103" s="1">
        <f t="shared" si="14"/>
        <v>6479.8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539.1000000000004</v>
      </c>
      <c r="C105" s="100">
        <f>C101-C102-C103</f>
        <v>1028.1000000000004</v>
      </c>
      <c r="D105" s="100">
        <f>D101-D102-D103</f>
        <v>307.39999999999964</v>
      </c>
      <c r="E105" s="96">
        <f>D105/D101*100</f>
        <v>9.614963560726899</v>
      </c>
      <c r="F105" s="96">
        <f t="shared" si="15"/>
        <v>57.02096086069365</v>
      </c>
      <c r="G105" s="96">
        <f t="shared" si="12"/>
        <v>29.89981519307456</v>
      </c>
      <c r="H105" s="96">
        <f>B105-D105</f>
        <v>231.70000000000073</v>
      </c>
      <c r="I105" s="96">
        <f t="shared" si="14"/>
        <v>720.7000000000007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96716.1</v>
      </c>
      <c r="C106" s="93">
        <f>SUM(C107:C141)-C114-C118+C142-C134-C135-C108-C111-C121-C122-C132</f>
        <v>149819.9</v>
      </c>
      <c r="D106" s="93">
        <f>SUM(D107:D141)-D114-D118+D142-D134-D135-D108-D111-D121-D122-D132</f>
        <v>71570.99999999999</v>
      </c>
      <c r="E106" s="94">
        <f>D106/D144*100</f>
        <v>14.676359723070377</v>
      </c>
      <c r="F106" s="94">
        <f>D106/B106*100</f>
        <v>74.00112287406128</v>
      </c>
      <c r="G106" s="94">
        <f t="shared" si="12"/>
        <v>47.7713574765435</v>
      </c>
      <c r="H106" s="94">
        <f t="shared" si="13"/>
        <v>25145.10000000002</v>
      </c>
      <c r="I106" s="94">
        <f t="shared" si="14"/>
        <v>78248.90000000001</v>
      </c>
    </row>
    <row r="107" spans="1:9" ht="37.5">
      <c r="A107" s="34" t="s">
        <v>67</v>
      </c>
      <c r="B107" s="78">
        <v>1136.5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</f>
        <v>698.6000000000001</v>
      </c>
      <c r="E107" s="6">
        <f>D107/D106*100</f>
        <v>0.9760936692235687</v>
      </c>
      <c r="F107" s="6">
        <f t="shared" si="15"/>
        <v>61.46942366915972</v>
      </c>
      <c r="G107" s="6">
        <f t="shared" si="12"/>
        <v>38.8154239359929</v>
      </c>
      <c r="H107" s="6">
        <f aca="true" t="shared" si="16" ref="H107:H142">B107-D107</f>
        <v>437.89999999999986</v>
      </c>
      <c r="I107" s="6">
        <f t="shared" si="14"/>
        <v>1101.1999999999998</v>
      </c>
    </row>
    <row r="108" spans="1:9" ht="18">
      <c r="A108" s="29" t="s">
        <v>33</v>
      </c>
      <c r="B108" s="81">
        <v>475</v>
      </c>
      <c r="C108" s="51">
        <v>823.7</v>
      </c>
      <c r="D108" s="82">
        <f>96.8+90.7+64.1+48.5+58.1+15.9+13.5</f>
        <v>387.6</v>
      </c>
      <c r="E108" s="1"/>
      <c r="F108" s="1">
        <f t="shared" si="15"/>
        <v>81.60000000000001</v>
      </c>
      <c r="G108" s="1">
        <f t="shared" si="12"/>
        <v>47.055966978268785</v>
      </c>
      <c r="H108" s="1">
        <f t="shared" si="16"/>
        <v>87.39999999999998</v>
      </c>
      <c r="I108" s="1">
        <f t="shared" si="14"/>
        <v>436.1</v>
      </c>
    </row>
    <row r="109" spans="1:9" ht="34.5" customHeight="1">
      <c r="A109" s="17" t="s">
        <v>100</v>
      </c>
      <c r="B109" s="80">
        <v>514.1</v>
      </c>
      <c r="C109" s="68">
        <v>903.8</v>
      </c>
      <c r="D109" s="79">
        <f>20.7+31.6+0.1+27.7-0.1+31.4+0.1+10.6+34.1+43.9</f>
        <v>200.1</v>
      </c>
      <c r="E109" s="6">
        <f>D109/D106*100</f>
        <v>0.2795825124701346</v>
      </c>
      <c r="F109" s="6">
        <f>D109/B109*100</f>
        <v>38.92238864034234</v>
      </c>
      <c r="G109" s="6">
        <f t="shared" si="12"/>
        <v>22.139853949988936</v>
      </c>
      <c r="H109" s="6">
        <f t="shared" si="16"/>
        <v>314</v>
      </c>
      <c r="I109" s="6">
        <f t="shared" si="14"/>
        <v>703.6999999999999</v>
      </c>
    </row>
    <row r="110" spans="1:9" s="44" customFormat="1" ht="34.5" customHeight="1">
      <c r="A110" s="17" t="s">
        <v>75</v>
      </c>
      <c r="B110" s="80">
        <v>56.9</v>
      </c>
      <c r="C110" s="60">
        <f>71.8+12.8</f>
        <v>84.6</v>
      </c>
      <c r="D110" s="83">
        <f>5.3+5.3+0.5+1.7+6+6</f>
        <v>24.799999999999997</v>
      </c>
      <c r="E110" s="6">
        <f>D110/D106*100</f>
        <v>0.03465090609325006</v>
      </c>
      <c r="F110" s="6">
        <f t="shared" si="15"/>
        <v>43.58523725834797</v>
      </c>
      <c r="G110" s="6">
        <f t="shared" si="12"/>
        <v>29.314420803782504</v>
      </c>
      <c r="H110" s="6">
        <f t="shared" si="16"/>
        <v>32.1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39.2</v>
      </c>
      <c r="C112" s="68">
        <v>67.4</v>
      </c>
      <c r="D112" s="79">
        <f>5.5+5.4+5.5+5.5+5.5+5.5-0.1</f>
        <v>32.8</v>
      </c>
      <c r="E112" s="6">
        <f>D112/D106*100</f>
        <v>0.04582861773623396</v>
      </c>
      <c r="F112" s="6">
        <f t="shared" si="15"/>
        <v>83.67346938775509</v>
      </c>
      <c r="G112" s="6">
        <f t="shared" si="12"/>
        <v>48.664688427299694</v>
      </c>
      <c r="H112" s="6">
        <f t="shared" si="16"/>
        <v>6.400000000000006</v>
      </c>
      <c r="I112" s="6">
        <f t="shared" si="14"/>
        <v>34.60000000000001</v>
      </c>
    </row>
    <row r="113" spans="1:9" ht="37.5">
      <c r="A113" s="17" t="s">
        <v>47</v>
      </c>
      <c r="B113" s="80">
        <v>917.6</v>
      </c>
      <c r="C113" s="68">
        <v>1532.5</v>
      </c>
      <c r="D113" s="79">
        <f>96.4+0.6+6.3+86+10.4+21.5+5.3+0.1+11.6+102.1+10.6+3.5+5.6+100.7+13.3+0.9+3.6+96.9-0.1+15.7+1.7+1+96.8+0.1+4+1+0.2</f>
        <v>695.8000000000002</v>
      </c>
      <c r="E113" s="6">
        <f>D113/D106*100</f>
        <v>0.9721814701485244</v>
      </c>
      <c r="F113" s="6">
        <f t="shared" si="15"/>
        <v>75.82824760244117</v>
      </c>
      <c r="G113" s="6">
        <f t="shared" si="12"/>
        <v>45.40293637846657</v>
      </c>
      <c r="H113" s="6">
        <f t="shared" si="16"/>
        <v>221.79999999999984</v>
      </c>
      <c r="I113" s="6">
        <f t="shared" si="14"/>
        <v>836.6999999999998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0.050299702393427514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0.08257534476254351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f>132.4+16.7</f>
        <v>149.1</v>
      </c>
      <c r="C117" s="60">
        <f>199.6+4.8</f>
        <v>204.4</v>
      </c>
      <c r="D117" s="79">
        <f>1.6+18.3+17.8+0.8+2.2+4+0.6+16.7+3.7+3.6+16.7+3.4+1.3+16.7+2.9+0.8+16.7+0.1+0.8+1.3</f>
        <v>130.00000000000003</v>
      </c>
      <c r="E117" s="6">
        <f>D117/D106*100</f>
        <v>0.1816378141984883</v>
      </c>
      <c r="F117" s="6">
        <f t="shared" si="15"/>
        <v>87.18980549966467</v>
      </c>
      <c r="G117" s="6">
        <f t="shared" si="12"/>
        <v>63.60078277886498</v>
      </c>
      <c r="H117" s="6">
        <f t="shared" si="16"/>
        <v>19.099999999999966</v>
      </c>
      <c r="I117" s="6">
        <f t="shared" si="14"/>
        <v>74.39999999999998</v>
      </c>
    </row>
    <row r="118" spans="1:9" s="39" customFormat="1" ht="18">
      <c r="A118" s="40" t="s">
        <v>54</v>
      </c>
      <c r="B118" s="81">
        <f>100.3+16.7</f>
        <v>117</v>
      </c>
      <c r="C118" s="51">
        <v>150.8</v>
      </c>
      <c r="D118" s="82">
        <f>16.7+16.7+16.7+16.7+16.7+16.7</f>
        <v>100.2</v>
      </c>
      <c r="E118" s="1"/>
      <c r="F118" s="1">
        <f t="shared" si="15"/>
        <v>85.64102564102565</v>
      </c>
      <c r="G118" s="1">
        <f t="shared" si="12"/>
        <v>66.44562334217507</v>
      </c>
      <c r="H118" s="1">
        <f t="shared" si="16"/>
        <v>16.799999999999997</v>
      </c>
      <c r="I118" s="1">
        <f t="shared" si="14"/>
        <v>50.60000000000001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0.5565103184250605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110.6+553+71.8</f>
        <v>735.4</v>
      </c>
      <c r="E120" s="19">
        <f>D120/D106*100</f>
        <v>1.0275111427812944</v>
      </c>
      <c r="F120" s="6">
        <f t="shared" si="15"/>
        <v>59.239568229418396</v>
      </c>
      <c r="G120" s="6">
        <f t="shared" si="12"/>
        <v>58.784972022382085</v>
      </c>
      <c r="H120" s="6">
        <f t="shared" si="16"/>
        <v>506.0000000000001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1609.1</v>
      </c>
      <c r="C123" s="60">
        <v>2933.8</v>
      </c>
      <c r="D123" s="83">
        <f>21+0.9+174.2+5+11.4+16.5-0.1+809.5+345.2</f>
        <v>1383.6000000000001</v>
      </c>
      <c r="E123" s="19">
        <f>D123/D106*100</f>
        <v>1.9331852286540645</v>
      </c>
      <c r="F123" s="6">
        <f t="shared" si="15"/>
        <v>85.98595488161085</v>
      </c>
      <c r="G123" s="6">
        <f t="shared" si="12"/>
        <v>47.16067898288909</v>
      </c>
      <c r="H123" s="6">
        <f t="shared" si="16"/>
        <v>225.49999999999977</v>
      </c>
      <c r="I123" s="6">
        <f t="shared" si="14"/>
        <v>1550.2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0.18149809280295096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0.002794427910745973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f>235.3-16.7</f>
        <v>218.60000000000002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218.60000000000002</v>
      </c>
      <c r="I126" s="6">
        <f t="shared" si="14"/>
        <v>332.3</v>
      </c>
    </row>
    <row r="127" spans="1:9" s="2" customFormat="1" ht="37.5">
      <c r="A127" s="17" t="s">
        <v>78</v>
      </c>
      <c r="B127" s="80">
        <v>338.4</v>
      </c>
      <c r="C127" s="60">
        <f>101.4+27.9+634</f>
        <v>763.3</v>
      </c>
      <c r="D127" s="83">
        <f>3+3+4.9+21.9-0.1+12.2+1.6+6.9+7.8+0.7+8.4+2.4+5+2.4+0.1+5.6+2.4+0.1+5</f>
        <v>93.3</v>
      </c>
      <c r="E127" s="19">
        <f>D127/D106*100</f>
        <v>0.13036006203629966</v>
      </c>
      <c r="F127" s="6">
        <f t="shared" si="15"/>
        <v>27.570921985815605</v>
      </c>
      <c r="G127" s="6">
        <f t="shared" si="12"/>
        <v>12.223241189571597</v>
      </c>
      <c r="H127" s="6">
        <f t="shared" si="16"/>
        <v>245.09999999999997</v>
      </c>
      <c r="I127" s="6">
        <f t="shared" si="14"/>
        <v>670</v>
      </c>
    </row>
    <row r="128" spans="1:9" s="2" customFormat="1" ht="18.75">
      <c r="A128" s="17" t="s">
        <v>72</v>
      </c>
      <c r="B128" s="80">
        <v>415.2</v>
      </c>
      <c r="C128" s="60">
        <v>650</v>
      </c>
      <c r="D128" s="83">
        <f>8.7+23.6+6.2+5.1+38.5+4.6+4.8+8.6+12.9+2.8+0.1+16.3+3+2.5+6.2-0.2+39.7+9.9+9.5</f>
        <v>202.79999999999998</v>
      </c>
      <c r="E128" s="19">
        <f>D128/D106*100</f>
        <v>0.28335499014964166</v>
      </c>
      <c r="F128" s="6">
        <f t="shared" si="15"/>
        <v>48.84393063583815</v>
      </c>
      <c r="G128" s="6">
        <f t="shared" si="12"/>
        <v>31.2</v>
      </c>
      <c r="H128" s="6">
        <f t="shared" si="16"/>
        <v>212.4</v>
      </c>
      <c r="I128" s="6">
        <f t="shared" si="14"/>
        <v>447.20000000000005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0.04918193122912914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v>265.1</v>
      </c>
      <c r="C131" s="60">
        <v>265.1</v>
      </c>
      <c r="D131" s="83">
        <f>59.9+7.6+10.7+6.3+5.3+38.1+4+0.1+1.7+3.6</f>
        <v>137.29999999999998</v>
      </c>
      <c r="E131" s="19">
        <f>D131/D106*100</f>
        <v>0.191837476072711</v>
      </c>
      <c r="F131" s="6">
        <f t="shared" si="15"/>
        <v>51.79177668804223</v>
      </c>
      <c r="G131" s="6">
        <f>D131/C131*100</f>
        <v>51.79177668804223</v>
      </c>
      <c r="H131" s="6">
        <f t="shared" si="16"/>
        <v>127.80000000000004</v>
      </c>
      <c r="I131" s="6">
        <f t="shared" si="14"/>
        <v>127.80000000000004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</f>
        <v>55</v>
      </c>
      <c r="E132" s="1"/>
      <c r="F132" s="1">
        <f t="shared" si="15"/>
        <v>85.66978193146417</v>
      </c>
      <c r="G132" s="1">
        <f>D132/C132*100</f>
        <v>85.66978193146417</v>
      </c>
      <c r="H132" s="1">
        <f t="shared" si="16"/>
        <v>9.200000000000003</v>
      </c>
      <c r="I132" s="1">
        <f t="shared" si="14"/>
        <v>9.200000000000003</v>
      </c>
    </row>
    <row r="133" spans="1:9" s="2" customFormat="1" ht="18.75">
      <c r="A133" s="17" t="s">
        <v>32</v>
      </c>
      <c r="B133" s="80">
        <v>581.8</v>
      </c>
      <c r="C133" s="60">
        <f>981.9+3.8</f>
        <v>985.6999999999999</v>
      </c>
      <c r="D133" s="83">
        <f>21.9+41.8+0.1+6.1+26+3.6+0.1+41-0.1+21.3+6.2+7.1+43.4+4.5+8.8+48.5+7.5+32.1+0.1+41.9+8.4+5.1+33.1+1.3+25.6+4.3+48.8+5.3+25.6</f>
        <v>519.4000000000001</v>
      </c>
      <c r="E133" s="19">
        <f>D133/D106*100</f>
        <v>0.7257129284207293</v>
      </c>
      <c r="F133" s="6">
        <f t="shared" si="15"/>
        <v>89.27466483327606</v>
      </c>
      <c r="G133" s="6">
        <f t="shared" si="12"/>
        <v>52.693517297352145</v>
      </c>
      <c r="H133" s="6">
        <f t="shared" si="16"/>
        <v>62.399999999999864</v>
      </c>
      <c r="I133" s="6">
        <f t="shared" si="14"/>
        <v>466.29999999999984</v>
      </c>
    </row>
    <row r="134" spans="1:9" s="39" customFormat="1" ht="18">
      <c r="A134" s="40" t="s">
        <v>54</v>
      </c>
      <c r="B134" s="81">
        <v>501.5</v>
      </c>
      <c r="C134" s="51">
        <v>848.7</v>
      </c>
      <c r="D134" s="82">
        <f>21.9+39.7+0.1+6.1+19+41-0.1+21.3+43.3+8.5+32.3+32.1+41.5+4.2+33.1+25.6+47+0.1+25.6</f>
        <v>442.3000000000001</v>
      </c>
      <c r="E134" s="1">
        <f>D134/D133*100</f>
        <v>85.1559491721217</v>
      </c>
      <c r="F134" s="1">
        <f aca="true" t="shared" si="17" ref="F134:F141">D134/B134*100</f>
        <v>88.19541375872384</v>
      </c>
      <c r="G134" s="1">
        <f t="shared" si="12"/>
        <v>52.11499941086368</v>
      </c>
      <c r="H134" s="1">
        <f t="shared" si="16"/>
        <v>59.199999999999875</v>
      </c>
      <c r="I134" s="1">
        <f t="shared" si="14"/>
        <v>406.3999999999999</v>
      </c>
    </row>
    <row r="135" spans="1:9" s="39" customFormat="1" ht="18">
      <c r="A135" s="29" t="s">
        <v>33</v>
      </c>
      <c r="B135" s="81">
        <v>21.8</v>
      </c>
      <c r="C135" s="51">
        <v>26.3</v>
      </c>
      <c r="D135" s="82">
        <f>7+6+0.2+7.1+0.1+0.4+0.3+0.1+0.3</f>
        <v>21.5</v>
      </c>
      <c r="E135" s="1">
        <f>D135/D133*100</f>
        <v>4.139391605698883</v>
      </c>
      <c r="F135" s="1">
        <f t="shared" si="17"/>
        <v>98.62385321100918</v>
      </c>
      <c r="G135" s="1">
        <f>D135/C135*100</f>
        <v>81.74904942965779</v>
      </c>
      <c r="H135" s="1">
        <f t="shared" si="16"/>
        <v>0.3000000000000007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0.2794427910745973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109</v>
      </c>
      <c r="B137" s="80">
        <v>2200</v>
      </c>
      <c r="C137" s="60">
        <f>6500-2076-424</f>
        <v>4000</v>
      </c>
      <c r="D137" s="83">
        <f>241.3+64.6+48.1+278.9</f>
        <v>632.9</v>
      </c>
      <c r="E137" s="19">
        <f>D137/D106*100</f>
        <v>0.8842967123555632</v>
      </c>
      <c r="F137" s="112">
        <f t="shared" si="17"/>
        <v>28.768181818181816</v>
      </c>
      <c r="G137" s="6">
        <f t="shared" si="12"/>
        <v>15.8225</v>
      </c>
      <c r="H137" s="6">
        <f t="shared" si="16"/>
        <v>1567.1</v>
      </c>
      <c r="I137" s="6">
        <f t="shared" si="14"/>
        <v>3367.1</v>
      </c>
    </row>
    <row r="138" spans="1:9" s="2" customFormat="1" ht="18.75">
      <c r="A138" s="23" t="s">
        <v>117</v>
      </c>
      <c r="B138" s="80">
        <v>2727.5</v>
      </c>
      <c r="C138" s="60">
        <f>6082.6-959.5</f>
        <v>5123.1</v>
      </c>
      <c r="D138" s="83">
        <f>626.1+43.8+40.3+236+112.9+11.4-0.1+68.6+570.3+22.4+44.4+39.9+585.7+199.1+14</f>
        <v>2614.8</v>
      </c>
      <c r="E138" s="19">
        <f>D138/D106*100</f>
        <v>3.6534350505092856</v>
      </c>
      <c r="F138" s="112">
        <f t="shared" si="17"/>
        <v>95.86801099908342</v>
      </c>
      <c r="G138" s="6">
        <f t="shared" si="12"/>
        <v>51.0394097323886</v>
      </c>
      <c r="H138" s="6">
        <f t="shared" si="16"/>
        <v>112.69999999999982</v>
      </c>
      <c r="I138" s="6">
        <f t="shared" si="14"/>
        <v>2508.3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5.851532045102068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0.7519805507817414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64919.1</v>
      </c>
      <c r="C141" s="60">
        <f>91632.1+2530-27+23.1+959.5</f>
        <v>95117.70000000001</v>
      </c>
      <c r="D141" s="83">
        <f>500.9+20883.8+13804+7506.8+2189.4+1247.6</f>
        <v>46132.5</v>
      </c>
      <c r="E141" s="19">
        <f>D141/D106*100</f>
        <v>64.4569727962443</v>
      </c>
      <c r="F141" s="6">
        <f t="shared" si="17"/>
        <v>71.06152118559869</v>
      </c>
      <c r="G141" s="6">
        <f t="shared" si="12"/>
        <v>48.50043682721512</v>
      </c>
      <c r="H141" s="6">
        <f t="shared" si="16"/>
        <v>18786.6</v>
      </c>
      <c r="I141" s="6">
        <f t="shared" si="14"/>
        <v>48985.20000000001</v>
      </c>
      <c r="K141" s="103"/>
      <c r="L141" s="45"/>
    </row>
    <row r="142" spans="1:12" s="2" customFormat="1" ht="18.75">
      <c r="A142" s="17" t="s">
        <v>103</v>
      </c>
      <c r="B142" s="80">
        <v>12987.1</v>
      </c>
      <c r="C142" s="60">
        <v>22263.4</v>
      </c>
      <c r="D142" s="83">
        <f>1236.9+618.4+618.4+618.4+618.5+618.4+618.4+618.5+618.4+618.4+618.5+618.4+618.4+618.5+618.4+618.4+618.5+618.4</f>
        <v>11750.199999999997</v>
      </c>
      <c r="E142" s="19">
        <f>D142/D106*100</f>
        <v>16.417543418423662</v>
      </c>
      <c r="F142" s="6">
        <f t="shared" si="15"/>
        <v>90.47593381124344</v>
      </c>
      <c r="G142" s="6">
        <f t="shared" si="12"/>
        <v>52.77810217666662</v>
      </c>
      <c r="H142" s="6">
        <f t="shared" si="16"/>
        <v>1236.9000000000033</v>
      </c>
      <c r="I142" s="6">
        <f t="shared" si="14"/>
        <v>10513.200000000004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102993.8</v>
      </c>
      <c r="C143" s="84">
        <f>C43+C68+C71+C76+C78+C86+C101+C106+C99+C83+C97</f>
        <v>161942.9</v>
      </c>
      <c r="D143" s="60">
        <f>D43+D68+D71+D76+D78+D86+D101+D106+D99+D83+D97</f>
        <v>75438.69999999998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554485.3999999999</v>
      </c>
      <c r="C144" s="54">
        <f>C6+C18+C33+C43+C51+C58+C68+C71+C76+C78+C86+C89+C94+C101+C106+C99+C83+C97+C45</f>
        <v>896182.6000000001</v>
      </c>
      <c r="D144" s="54">
        <f>D6+D18+D33+D43+D51+D58+D68+D71+D76+D78+D86+D89+D94+D101+D106+D99+D83+D97+D45</f>
        <v>487661.7999999999</v>
      </c>
      <c r="E144" s="38">
        <v>100</v>
      </c>
      <c r="F144" s="3">
        <f>D144/B144*100</f>
        <v>87.9485375088325</v>
      </c>
      <c r="G144" s="3">
        <f aca="true" t="shared" si="18" ref="G144:G150">D144/C144*100</f>
        <v>54.415450601250214</v>
      </c>
      <c r="H144" s="3">
        <f aca="true" t="shared" si="19" ref="H144:H150">B144-D144</f>
        <v>66823.60000000003</v>
      </c>
      <c r="I144" s="3">
        <f aca="true" t="shared" si="20" ref="I144:I150">C144-D144</f>
        <v>408520.8000000002</v>
      </c>
      <c r="K144" s="46"/>
      <c r="L144" s="47"/>
    </row>
    <row r="145" spans="1:12" ht="18.75">
      <c r="A145" s="23" t="s">
        <v>5</v>
      </c>
      <c r="B145" s="67">
        <f>B8+B20+B34+B52+B59+B90+B114+B118+B46+B134</f>
        <v>311135.8</v>
      </c>
      <c r="C145" s="67">
        <f>C8+C20+C34+C52+C59+C90+C114+C118+C46+C134</f>
        <v>507335.6</v>
      </c>
      <c r="D145" s="67">
        <f>D8+D20+D34+D52+D59+D90+D114+D118+D46+D134</f>
        <v>294054.39999999997</v>
      </c>
      <c r="E145" s="6">
        <f>D145/D144*100</f>
        <v>60.298838252247776</v>
      </c>
      <c r="F145" s="6">
        <f aca="true" t="shared" si="21" ref="F145:F156">D145/B145*100</f>
        <v>94.50998567185131</v>
      </c>
      <c r="G145" s="6">
        <f t="shared" si="18"/>
        <v>57.96052947989456</v>
      </c>
      <c r="H145" s="6">
        <f t="shared" si="19"/>
        <v>17081.400000000023</v>
      </c>
      <c r="I145" s="18">
        <f t="shared" si="20"/>
        <v>213281.2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64439.000000000015</v>
      </c>
      <c r="C146" s="68">
        <f>C11+C23+C36+C55+C61+C91+C49+C135+C108+C111+C95+C132</f>
        <v>99365.7</v>
      </c>
      <c r="D146" s="68">
        <f>D11+D23+D36+D55+D61+D91+D49+D135+D108+D111+D95+D132</f>
        <v>55078.100000000006</v>
      </c>
      <c r="E146" s="6">
        <f>D146/D144*100</f>
        <v>11.294323237948927</v>
      </c>
      <c r="F146" s="6">
        <f t="shared" si="21"/>
        <v>85.47323825633543</v>
      </c>
      <c r="G146" s="6">
        <f t="shared" si="18"/>
        <v>55.42969052701285</v>
      </c>
      <c r="H146" s="6">
        <f t="shared" si="19"/>
        <v>9360.900000000009</v>
      </c>
      <c r="I146" s="18">
        <f t="shared" si="20"/>
        <v>44287.59999999999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14343.900000000001</v>
      </c>
      <c r="C147" s="67">
        <f>C22+C10+C54+C48+C60+C35+C102+C122</f>
        <v>25986.7</v>
      </c>
      <c r="D147" s="67">
        <f>D22+D10+D54+D48+D60+D35+D102+D122</f>
        <v>11943.099999999999</v>
      </c>
      <c r="E147" s="6">
        <f>D147/D144*100</f>
        <v>2.4490538319794584</v>
      </c>
      <c r="F147" s="6">
        <f t="shared" si="21"/>
        <v>83.26257154609274</v>
      </c>
      <c r="G147" s="6">
        <f t="shared" si="18"/>
        <v>45.958509545267376</v>
      </c>
      <c r="H147" s="6">
        <f t="shared" si="19"/>
        <v>2400.800000000003</v>
      </c>
      <c r="I147" s="18">
        <f t="shared" si="20"/>
        <v>14043.600000000002</v>
      </c>
      <c r="K147" s="46"/>
      <c r="L147" s="47"/>
    </row>
    <row r="148" spans="1:12" ht="21" customHeight="1">
      <c r="A148" s="23" t="s">
        <v>15</v>
      </c>
      <c r="B148" s="67">
        <f>B12+B24+B103+B62+B38+B92</f>
        <v>8135</v>
      </c>
      <c r="C148" s="67">
        <f>C12+C24+C103+C62+C38+C92</f>
        <v>14369.800000000001</v>
      </c>
      <c r="D148" s="67">
        <f>D12+D24+D103+D62+D38+D92</f>
        <v>4433.2</v>
      </c>
      <c r="E148" s="6">
        <f>D148/D144*100</f>
        <v>0.9090726400960668</v>
      </c>
      <c r="F148" s="6">
        <f t="shared" si="21"/>
        <v>54.49539028887522</v>
      </c>
      <c r="G148" s="6">
        <f t="shared" si="18"/>
        <v>30.850812119862486</v>
      </c>
      <c r="H148" s="6">
        <f t="shared" si="19"/>
        <v>3701.8</v>
      </c>
      <c r="I148" s="18">
        <f t="shared" si="20"/>
        <v>9936.600000000002</v>
      </c>
      <c r="K148" s="46"/>
      <c r="L148" s="102"/>
    </row>
    <row r="149" spans="1:12" ht="18.75">
      <c r="A149" s="23" t="s">
        <v>2</v>
      </c>
      <c r="B149" s="67">
        <f>B9+B21+B47+B53+B121</f>
        <v>6887.9</v>
      </c>
      <c r="C149" s="67">
        <f>C9+C21+C47+C53+C121</f>
        <v>12818.7</v>
      </c>
      <c r="D149" s="67">
        <f>D9+D21+D47+D53+D121</f>
        <v>3986.6999999999994</v>
      </c>
      <c r="E149" s="6">
        <f>D149/D144*100</f>
        <v>0.8175132848215712</v>
      </c>
      <c r="F149" s="6">
        <f t="shared" si="21"/>
        <v>57.879760159119606</v>
      </c>
      <c r="G149" s="6">
        <f t="shared" si="18"/>
        <v>31.100657632989297</v>
      </c>
      <c r="H149" s="6">
        <f t="shared" si="19"/>
        <v>2901.2000000000003</v>
      </c>
      <c r="I149" s="18">
        <f t="shared" si="20"/>
        <v>8832.000000000002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149543.79999999993</v>
      </c>
      <c r="C150" s="67">
        <f>C144-C145-C146-C147-C148-C149</f>
        <v>236306.1000000001</v>
      </c>
      <c r="D150" s="67">
        <f>D144-D145-D146-D147-D148-D149</f>
        <v>118166.2999999999</v>
      </c>
      <c r="E150" s="6">
        <f>D150/D144*100</f>
        <v>24.231198752906202</v>
      </c>
      <c r="F150" s="6">
        <f t="shared" si="21"/>
        <v>79.01785296347956</v>
      </c>
      <c r="G150" s="43">
        <f t="shared" si="18"/>
        <v>50.005607134136554</v>
      </c>
      <c r="H150" s="6">
        <f t="shared" si="19"/>
        <v>31377.50000000003</v>
      </c>
      <c r="I150" s="6">
        <f t="shared" si="20"/>
        <v>118139.80000000019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12969.7</v>
      </c>
      <c r="C152" s="73">
        <f>3301.9+496+14356.4</f>
        <v>18154.3</v>
      </c>
      <c r="D152" s="73">
        <f>288.1+1522.4+951.8+530.2+8.8+0.5+0.1+495.9+10.6+101+174.6+2.1+509.4+15+8.4+488.4+154.3+94.8+166.1</f>
        <v>5522.5</v>
      </c>
      <c r="E152" s="15"/>
      <c r="F152" s="6">
        <f t="shared" si="21"/>
        <v>42.580013415884714</v>
      </c>
      <c r="G152" s="6">
        <f aca="true" t="shared" si="22" ref="G152:G161">D152/C152*100</f>
        <v>30.41979035269881</v>
      </c>
      <c r="H152" s="6">
        <f>B152-D152</f>
        <v>7447.200000000001</v>
      </c>
      <c r="I152" s="6">
        <f aca="true" t="shared" si="23" ref="I152:I161">C152-D152</f>
        <v>12631.8</v>
      </c>
      <c r="K152" s="46"/>
      <c r="L152" s="46"/>
    </row>
    <row r="153" spans="1:12" ht="18.75">
      <c r="A153" s="23" t="s">
        <v>22</v>
      </c>
      <c r="B153" s="88">
        <f>10210.3+100</f>
        <v>10310.3</v>
      </c>
      <c r="C153" s="67">
        <f>16860.5</f>
        <v>16860.5</v>
      </c>
      <c r="D153" s="67">
        <f>132.1+649.5+498.6+2.9+146.5+119.3+11.1</f>
        <v>1560</v>
      </c>
      <c r="E153" s="6"/>
      <c r="F153" s="6">
        <f t="shared" si="21"/>
        <v>15.130500567393772</v>
      </c>
      <c r="G153" s="6">
        <f t="shared" si="22"/>
        <v>9.252394650217965</v>
      </c>
      <c r="H153" s="6">
        <f aca="true" t="shared" si="24" ref="H153:H160">B153-D153</f>
        <v>8750.3</v>
      </c>
      <c r="I153" s="6">
        <f t="shared" si="23"/>
        <v>15300.5</v>
      </c>
      <c r="K153" s="46"/>
      <c r="L153" s="46"/>
    </row>
    <row r="154" spans="1:12" ht="18.75">
      <c r="A154" s="23" t="s">
        <v>61</v>
      </c>
      <c r="B154" s="88">
        <f>103951-100</f>
        <v>103851</v>
      </c>
      <c r="C154" s="67">
        <f>105956.2+2530+90940.5+959.5</f>
        <v>200386.2</v>
      </c>
      <c r="D154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</f>
        <v>20927.900000000005</v>
      </c>
      <c r="E154" s="6"/>
      <c r="F154" s="6">
        <f t="shared" si="21"/>
        <v>20.151852172824533</v>
      </c>
      <c r="G154" s="6">
        <f t="shared" si="22"/>
        <v>10.44378305492095</v>
      </c>
      <c r="H154" s="6">
        <f t="shared" si="24"/>
        <v>82923.09999999999</v>
      </c>
      <c r="I154" s="6">
        <f t="shared" si="23"/>
        <v>179458.30000000002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10733.5</v>
      </c>
      <c r="C156" s="67">
        <f>54+13623.4</f>
        <v>13677.4</v>
      </c>
      <c r="D156" s="67">
        <f>5.2+5.1+225.1+114.9+40.2+5.2+4.6+89.9</f>
        <v>490.20000000000005</v>
      </c>
      <c r="E156" s="19"/>
      <c r="F156" s="6">
        <f t="shared" si="21"/>
        <v>4.567009829039923</v>
      </c>
      <c r="G156" s="6">
        <f t="shared" si="22"/>
        <v>3.584014505680905</v>
      </c>
      <c r="H156" s="6">
        <f t="shared" si="24"/>
        <v>10243.3</v>
      </c>
      <c r="I156" s="6">
        <f t="shared" si="23"/>
        <v>13187.199999999999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826.6</v>
      </c>
      <c r="C158" s="67">
        <f>1212+158.6</f>
        <v>1370.6</v>
      </c>
      <c r="D158" s="67">
        <f>15.4+25.9+416.9+18.7</f>
        <v>476.9</v>
      </c>
      <c r="E158" s="19"/>
      <c r="F158" s="6">
        <f>D158/B158*100</f>
        <v>57.69416888458746</v>
      </c>
      <c r="G158" s="6">
        <f t="shared" si="22"/>
        <v>34.794980300598276</v>
      </c>
      <c r="H158" s="6">
        <f t="shared" si="24"/>
        <v>349.70000000000005</v>
      </c>
      <c r="I158" s="6">
        <f t="shared" si="23"/>
        <v>893.6999999999999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98.8+11.3+146.1+110.9-0.1+10.1+85.3+20.5+418+104.6+257.6+46.9+315.7+1.5+1.4+47.1+128.3+440</f>
        <v>2244</v>
      </c>
      <c r="E160" s="24"/>
      <c r="F160" s="6">
        <f>D160/B160*100</f>
        <v>60.342045821232645</v>
      </c>
      <c r="G160" s="6">
        <f t="shared" si="22"/>
        <v>60.342045821232645</v>
      </c>
      <c r="H160" s="6">
        <f t="shared" si="24"/>
        <v>1474.8000000000002</v>
      </c>
      <c r="I160" s="6">
        <f t="shared" si="23"/>
        <v>1474.8000000000002</v>
      </c>
    </row>
    <row r="161" spans="1:9" ht="19.5" thickBot="1">
      <c r="A161" s="14" t="s">
        <v>20</v>
      </c>
      <c r="B161" s="90">
        <f>B144+B152+B156+B157+B153+B160+B159+B154+B158+B155</f>
        <v>697512.2999999999</v>
      </c>
      <c r="C161" s="90">
        <f>C144+C152+C156+C157+C153+C160+C159+C154+C158+C155</f>
        <v>1151167.4000000001</v>
      </c>
      <c r="D161" s="90">
        <f>D144+D152+D156+D157+D153+D160+D159+D154+D158+D155</f>
        <v>519192.69999999995</v>
      </c>
      <c r="E161" s="25"/>
      <c r="F161" s="3">
        <f>D161/B161*100</f>
        <v>74.43491677494433</v>
      </c>
      <c r="G161" s="3">
        <f t="shared" si="22"/>
        <v>45.10140749295019</v>
      </c>
      <c r="H161" s="3">
        <f>B161-D161</f>
        <v>178319.59999999998</v>
      </c>
      <c r="I161" s="3">
        <f t="shared" si="23"/>
        <v>631974.7000000002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487661.7999999999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487661.7999999999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2015-07-21T06:12:08Z</cp:lastPrinted>
  <dcterms:created xsi:type="dcterms:W3CDTF">2000-06-20T04:48:00Z</dcterms:created>
  <dcterms:modified xsi:type="dcterms:W3CDTF">2015-07-22T05:07:36Z</dcterms:modified>
  <cp:category/>
  <cp:version/>
  <cp:contentType/>
  <cp:contentStatus/>
</cp:coreProperties>
</file>